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січень 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<sst xmlns="http://schemas.openxmlformats.org/spreadsheetml/2006/main" count="199" uniqueCount="187">
  <si>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</si>
  <si>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</si>
  <si>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</si>
  <si>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</si>
  <si>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</si>
  <si>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</si>
  <si>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</si>
  <si>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</si>
  <si>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</si>
  <si>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</si>
  <si>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</si>
  <si>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</si>
  <si>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</si>
  <si>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</si>
  <si>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</si>
  <si>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</si>
  <si>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</si>
  <si>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</si>
  <si>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</si>
  <si>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</si>
  <si>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</si>
  <si>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</si>
  <si>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</si>
  <si>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</si>
  <si>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</si>
  <si>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</si>
  <si>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</si>
  <si>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</si>
  <si>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</si>
  <si>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</si>
  <si>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</si>
  <si>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</si>
  <si>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</si>
  <si>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</si>
  <si>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</si>
  <si>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</si>
  <si>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</si>
  <si>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</si>
  <si>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</si>
  <si>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</si>
  <si>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</si>
  <si>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</si>
  <si>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</si>
  <si>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</si>
  <si>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</si>
  <si>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</si>
  <si>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</si>
  <si>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</si>
  <si>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</si>
  <si>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</si>
  <si>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</si>
  <si>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</si>
  <si>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</si>
  <si>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</si>
  <si>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</si>
  <si>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</si>
  <si>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</si>
  <si>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</si>
  <si>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</si>
  <si>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</si>
  <si>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</si>
  <si>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</si>
  <si>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</si>
  <si>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</si>
  <si>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</si>
  <si>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</si>
  <si>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</si>
  <si>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</si>
  <si>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</si>
  <si>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</si>
  <si>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</si>
  <si>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</si>
  <si>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</si>
  <si>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</si>
  <si>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</si>
  <si>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</si>
  <si>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</si>
  <si>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</si>
  <si>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</si>
  <si>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</si>
  <si>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</si>
  <si>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</si>
  <si>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</si>
  <si>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</si>
  <si>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</si>
  <si>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</si>
  <si>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</si>
  <si>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</si>
  <si>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</si>
  <si>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</si>
  <si>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</si>
  <si>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</si>
  <si>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</si>
  <si>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</si>
  <si>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</si>
  <si>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</si>
  <si>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</si>
  <si>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</si>
  <si>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</si>
  <si>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</si>
  <si>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</si>
  <si>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</si>
  <si>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</si>
  <si>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</si>
  <si>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</si>
  <si>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</si>
  <si>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</si>
  <si>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</si>
  <si>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</si>
  <si>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</si>
  <si>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</si>
  <si>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</si>
  <si>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</si>
  <si>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</si>
  <si>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</si>
  <si>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</si>
  <si>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</si>
  <si>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</si>
  <si>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</si>
  <si>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</si>
  <si>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</si>
  <si>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</si>
  <si>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</si>
  <si>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</si>
  <si>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</si>
  <si>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</si>
  <si>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</si>
  <si>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</si>
  <si>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</si>
  <si>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</si>
  <si>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</si>
  <si>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</si>
  <si>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</si>
  <si>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</si>
  <si>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</si>
  <si>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</si>
  <si>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</si>
  <si>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</si>
  <si>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</si>
  <si>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</si>
  <si>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</si>
  <si>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</si>
  <si>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</si>
  <si>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</si>
  <si>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</si>
  <si>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</si>
  <si>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</si>
  <si>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</si>
  <si>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</si>
  <si>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</si>
  <si>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</si>
  <si>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</si>
  <si>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</si>
  <si>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</si>
  <si>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</si>
  <si>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</si>
  <si>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</si>
  <si>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</si>
  <si>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</si>
  <si>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</si>
  <si>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</si>
  <si>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</si>
  <si>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</si>
  <si>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</si>
  <si>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</si>
  <si>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</si>
  <si>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</si>
  <si>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</si>
  <si>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</si>
  <si>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</si>
  <si>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</si>
  <si>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</si>
  <si>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</si>
  <si>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 xml:space="preserve">Тимчасовий план на 2014 рік </t>
  </si>
  <si>
    <t>Необхідно ще отримати до плану на січень-</t>
  </si>
  <si>
    <t>% виконання до плану на січень-</t>
  </si>
  <si>
    <t>Відхилення (+,-) до  плану на І півріччя</t>
  </si>
  <si>
    <t>% виконання  плану на І півріччя</t>
  </si>
  <si>
    <t>Динаміка  фактичних надходжень січень- 2013 та 2014 років</t>
  </si>
  <si>
    <t>Виконано у січні</t>
  </si>
  <si>
    <t xml:space="preserve">Тимчасовий план на січень  місяць  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</si>
  <si>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</si>
  <si>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</si>
  <si>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</si>
  <si>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28.01.14 </t>
    </r>
    <r>
      <rPr>
        <b/>
        <sz val="10"/>
        <rFont val="Times New Roman"/>
        <family val="1"/>
      </rPr>
      <t>включно</t>
    </r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</si>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</sst>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wrapText="1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7" fillId="0" borderId="0" xfId="20" applyNumberFormat="1" applyFont="1" applyFill="1" applyBorder="1" applyAlignment="1" applyProtection="1">
      <alignment horizontal="center" wrapText="1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Лист4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5250-сф"/>
      <sheetName val="очік-01"/>
      <sheetName val="депозит"/>
      <sheetName val="залишки  (2)"/>
      <sheetName val="надх"/>
      <sheetName val="січень"/>
      <sheetName val="лютий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онтр.показ. Мінф"/>
      <sheetName val="кредити"/>
      <sheetName val="повер ПДФО"/>
      <sheetName val="очік на кредит"/>
      <sheetName val="зал. на 01.01.2013"/>
      <sheetName val="2111 з 2003р"/>
      <sheetName val="для федоренко"/>
      <sheetName val="найбільші платники"/>
    </sheetNames>
    <sheetDataSet>
      <sheetData sheetId="15">
        <row r="6">
          <cell r="G6">
            <v>111410617.99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97585396.03</v>
          </cell>
        </row>
      </sheetData>
      <sheetData sheetId="17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12" sqref="G11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625" style="4" customWidth="1"/>
    <col min="13" max="13" width="11.25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9.125" style="131" hidden="1" customWidth="1"/>
    <col min="19" max="16384" width="9.125" style="4" customWidth="1"/>
  </cols>
  <sheetData>
    <row r="1" spans="1:18" s="1" customFormat="1" ht="26.25" customHeight="1">
      <c r="A1" s="145" t="s">
        <v>186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26"/>
      <c r="R1" s="128"/>
    </row>
    <row r="2" spans="2:18" s="1" customFormat="1" ht="15.75" customHeight="1">
      <c r="B2" s="146"/>
      <c r="C2" s="146"/>
      <c r="D2" s="146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47"/>
      <c r="B3" s="149"/>
      <c r="C3" s="150" t="s">
        <v>0</v>
      </c>
      <c r="D3" s="151" t="s">
        <v>173</v>
      </c>
      <c r="E3" s="46"/>
      <c r="F3" s="152" t="s">
        <v>107</v>
      </c>
      <c r="G3" s="153"/>
      <c r="H3" s="153"/>
      <c r="I3" s="153"/>
      <c r="J3" s="154"/>
      <c r="K3" s="123"/>
      <c r="L3" s="123"/>
      <c r="M3" s="155" t="s">
        <v>180</v>
      </c>
      <c r="N3" s="176" t="s">
        <v>179</v>
      </c>
      <c r="O3" s="176"/>
      <c r="P3" s="176"/>
      <c r="Q3" s="127"/>
      <c r="R3" s="130"/>
    </row>
    <row r="4" spans="1:18" ht="22.5" customHeight="1">
      <c r="A4" s="147"/>
      <c r="B4" s="149"/>
      <c r="C4" s="150"/>
      <c r="D4" s="151"/>
      <c r="E4" s="156" t="s">
        <v>153</v>
      </c>
      <c r="F4" s="160" t="s">
        <v>116</v>
      </c>
      <c r="G4" s="162" t="s">
        <v>174</v>
      </c>
      <c r="H4" s="164" t="s">
        <v>175</v>
      </c>
      <c r="I4" s="166" t="s">
        <v>176</v>
      </c>
      <c r="J4" s="172" t="s">
        <v>177</v>
      </c>
      <c r="K4" s="125" t="s">
        <v>172</v>
      </c>
      <c r="L4" s="132" t="s">
        <v>171</v>
      </c>
      <c r="M4" s="155"/>
      <c r="N4" s="174" t="s">
        <v>184</v>
      </c>
      <c r="O4" s="166" t="s">
        <v>136</v>
      </c>
      <c r="P4" s="176" t="s">
        <v>135</v>
      </c>
      <c r="Q4" s="133" t="s">
        <v>172</v>
      </c>
      <c r="R4" s="134" t="s">
        <v>171</v>
      </c>
    </row>
    <row r="5" spans="1:18" ht="82.5" customHeight="1">
      <c r="A5" s="148"/>
      <c r="B5" s="149"/>
      <c r="C5" s="150"/>
      <c r="D5" s="151"/>
      <c r="E5" s="157"/>
      <c r="F5" s="161"/>
      <c r="G5" s="163"/>
      <c r="H5" s="165"/>
      <c r="I5" s="167"/>
      <c r="J5" s="173"/>
      <c r="K5" s="158" t="s">
        <v>178</v>
      </c>
      <c r="L5" s="159"/>
      <c r="M5" s="155"/>
      <c r="N5" s="175"/>
      <c r="O5" s="167"/>
      <c r="P5" s="176"/>
      <c r="Q5" s="158" t="s">
        <v>181</v>
      </c>
      <c r="R5" s="15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168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223265.1</v>
      </c>
      <c r="E8" s="22">
        <f>E10+E19+E33+E56+E68</f>
        <v>34205</v>
      </c>
      <c r="F8" s="22">
        <f>F10+F19+F33+F56+F68+F30</f>
        <v>33748.16</v>
      </c>
      <c r="G8" s="22">
        <f aca="true" t="shared" si="0" ref="G8:G30">F8-E8</f>
        <v>-456.8399999999965</v>
      </c>
      <c r="H8" s="51">
        <f>F8/E8*100</f>
        <v>98.6644057886274</v>
      </c>
      <c r="I8" s="36">
        <f aca="true" t="shared" si="1" ref="I8:I17">F8-D8</f>
        <v>-189516.94</v>
      </c>
      <c r="J8" s="36">
        <f aca="true" t="shared" si="2" ref="J8:J14">F8/D8*100</f>
        <v>15.115734613246765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34205</v>
      </c>
      <c r="N8" s="22">
        <f>N10+N19+N33+N56+N68+N30</f>
        <v>33748.16</v>
      </c>
      <c r="O8" s="36">
        <f aca="true" t="shared" si="3" ref="O8:O55">N8-M8</f>
        <v>-456.8399999999965</v>
      </c>
      <c r="P8" s="36">
        <f>F8/M8*100</f>
        <v>98.6644057886274</v>
      </c>
      <c r="Q8" s="36">
        <f>N8-33601.5</f>
        <v>146.6600000000035</v>
      </c>
      <c r="R8" s="136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180220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-153651.89</v>
      </c>
      <c r="J9" s="56">
        <f t="shared" si="2"/>
        <v>14.742043058484075</v>
      </c>
      <c r="K9" s="56"/>
      <c r="L9" s="56"/>
      <c r="M9" s="20">
        <f>M10+M17</f>
        <v>27150</v>
      </c>
      <c r="N9" s="20">
        <f>N10+N17</f>
        <v>26568.11</v>
      </c>
      <c r="O9" s="36">
        <f t="shared" si="3"/>
        <v>-581.8899999999994</v>
      </c>
      <c r="P9" s="56">
        <f>F9/M9*100</f>
        <v>97.85675874769798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180220</v>
      </c>
      <c r="E10" s="41">
        <v>27150</v>
      </c>
      <c r="F10" s="40">
        <v>26568.11</v>
      </c>
      <c r="G10" s="49">
        <f t="shared" si="0"/>
        <v>-581.8899999999994</v>
      </c>
      <c r="H10" s="40">
        <f aca="true" t="shared" si="4" ref="H10:H17">F10/E10*100</f>
        <v>97.85675874769798</v>
      </c>
      <c r="I10" s="56">
        <f t="shared" si="1"/>
        <v>-153651.89</v>
      </c>
      <c r="J10" s="56">
        <f t="shared" si="2"/>
        <v>14.742043058484075</v>
      </c>
      <c r="K10" s="56">
        <f>F10-26732.4</f>
        <v>-164.29000000000087</v>
      </c>
      <c r="L10" s="56">
        <f>F10/26732.4*100</f>
        <v>99.38542742140622</v>
      </c>
      <c r="M10" s="40">
        <f>E10</f>
        <v>27150</v>
      </c>
      <c r="N10" s="40">
        <f>F10</f>
        <v>26568.11</v>
      </c>
      <c r="O10" s="53">
        <f t="shared" si="3"/>
        <v>-581.8899999999994</v>
      </c>
      <c r="P10" s="56">
        <f aca="true" t="shared" si="5" ref="P10:P17">N10/M10*100</f>
        <v>97.85675874769798</v>
      </c>
      <c r="Q10" s="143">
        <f>N10-26732.4</f>
        <v>-164.29000000000087</v>
      </c>
      <c r="R10" s="144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</v>
      </c>
      <c r="E19" s="41">
        <v>100</v>
      </c>
      <c r="F19" s="40">
        <v>358.81</v>
      </c>
      <c r="G19" s="49">
        <f t="shared" si="0"/>
        <v>258.81</v>
      </c>
      <c r="H19" s="40">
        <f aca="true" t="shared" si="8" ref="H19:H28">F19/E19*100</f>
        <v>358.81</v>
      </c>
      <c r="I19" s="56">
        <f aca="true" t="shared" si="9" ref="I19:I28">F19-D19</f>
        <v>-241.19</v>
      </c>
      <c r="J19" s="56">
        <f aca="true" t="shared" si="10" ref="J19:J28">F19/D19*100</f>
        <v>59.80166666666666</v>
      </c>
      <c r="K19" s="56">
        <f>F19-194.7</f>
        <v>164.11</v>
      </c>
      <c r="L19" s="56">
        <f>F19/194.7*100</f>
        <v>184.28864920390345</v>
      </c>
      <c r="M19" s="40">
        <f t="shared" si="6"/>
        <v>100</v>
      </c>
      <c r="N19" s="40">
        <f t="shared" si="7"/>
        <v>358.81</v>
      </c>
      <c r="O19" s="53">
        <f t="shared" si="3"/>
        <v>258.81</v>
      </c>
      <c r="P19" s="56">
        <f aca="true" t="shared" si="11" ref="P19:P28">N19/M19*100</f>
        <v>358.81</v>
      </c>
      <c r="Q19" s="56">
        <f>N19-194.7</f>
        <v>164.11</v>
      </c>
      <c r="R19" s="137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9">F20-194.7</f>
        <v>-194.7</v>
      </c>
      <c r="L20" s="56">
        <f aca="true" t="shared" si="13" ref="L20:L29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/>
      <c r="R20" s="137"/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/>
      <c r="R21" s="137"/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/>
      <c r="R22" s="137"/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/>
      <c r="R23" s="137"/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/>
      <c r="R24" s="137"/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/>
      <c r="R25" s="137"/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/>
      <c r="R26" s="137"/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/>
      <c r="R27" s="137"/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/>
      <c r="R28" s="137"/>
    </row>
    <row r="29" spans="1:18" s="6" customFormat="1" ht="15.75">
      <c r="A29" s="8"/>
      <c r="B29" s="76" t="s">
        <v>183</v>
      </c>
      <c r="C29" s="185">
        <v>11010232</v>
      </c>
      <c r="D29" s="41"/>
      <c r="E29" s="41"/>
      <c r="F29" s="188">
        <v>358.79</v>
      </c>
      <c r="G29" s="49"/>
      <c r="H29" s="40"/>
      <c r="I29" s="56"/>
      <c r="J29" s="56"/>
      <c r="K29" s="187">
        <f>F29-160.03</f>
        <v>198.76000000000002</v>
      </c>
      <c r="L29" s="187">
        <f>F29/160.03*100</f>
        <v>224.20171217896646</v>
      </c>
      <c r="M29" s="40"/>
      <c r="N29" s="40">
        <f t="shared" si="7"/>
        <v>358.79</v>
      </c>
      <c r="O29" s="53"/>
      <c r="P29" s="56"/>
      <c r="Q29" s="56"/>
      <c r="R29" s="137"/>
    </row>
    <row r="30" spans="1:18" s="6" customFormat="1" ht="15.75">
      <c r="A30" s="8"/>
      <c r="B30" s="15" t="s">
        <v>29</v>
      </c>
      <c r="C30" s="66">
        <v>13030200</v>
      </c>
      <c r="D30" s="41">
        <v>0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38945</v>
      </c>
      <c r="E33" s="41">
        <v>6400</v>
      </c>
      <c r="F33" s="40">
        <v>6293.29</v>
      </c>
      <c r="G33" s="49">
        <f aca="true" t="shared" si="14" ref="G33:G55">F33-E33</f>
        <v>-106.71000000000004</v>
      </c>
      <c r="H33" s="40">
        <f aca="true" t="shared" si="15" ref="H33:H55">F33/E33*100</f>
        <v>98.33265625</v>
      </c>
      <c r="I33" s="56">
        <f>F33-D33</f>
        <v>-32651.71</v>
      </c>
      <c r="J33" s="56">
        <f aca="true" t="shared" si="16" ref="J33:J55">F33/D33*100</f>
        <v>16.159429965335733</v>
      </c>
      <c r="K33" s="56">
        <f>F33-6172.8</f>
        <v>120.48999999999978</v>
      </c>
      <c r="L33" s="56">
        <f>F33/6172.8*100</f>
        <v>101.95195049248315</v>
      </c>
      <c r="M33" s="40">
        <f t="shared" si="6"/>
        <v>6400</v>
      </c>
      <c r="N33" s="40">
        <f t="shared" si="7"/>
        <v>6293.29</v>
      </c>
      <c r="O33" s="53">
        <f t="shared" si="3"/>
        <v>-106.71000000000004</v>
      </c>
      <c r="P33" s="56">
        <f aca="true" t="shared" si="17" ref="P33:P55">N33/M33*100</f>
        <v>98.33265625</v>
      </c>
      <c r="Q33" s="143">
        <f>N33-6172.8</f>
        <v>120.48999999999978</v>
      </c>
      <c r="R33" s="144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55">F34-D34</f>
        <v>0</v>
      </c>
      <c r="J34" s="56" t="e">
        <f t="shared" si="16"/>
        <v>#DIV/0!</v>
      </c>
      <c r="K34" s="56">
        <f aca="true" t="shared" si="19" ref="K34:K55">F34-6172.8</f>
        <v>-6172.8</v>
      </c>
      <c r="L34" s="56">
        <f aca="true" t="shared" si="20" ref="L34:L55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7"/>
        <v>#DIV/0!</v>
      </c>
      <c r="Q34" s="56"/>
      <c r="R34" s="137"/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56">
        <f t="shared" si="20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7"/>
        <v>#DIV/0!</v>
      </c>
      <c r="Q35" s="56"/>
      <c r="R35" s="137"/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56">
        <f t="shared" si="20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7"/>
        <v>#DIV/0!</v>
      </c>
      <c r="Q36" s="56"/>
      <c r="R36" s="137"/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56">
        <f t="shared" si="20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7"/>
        <v>#DIV/0!</v>
      </c>
      <c r="Q37" s="56"/>
      <c r="R37" s="137"/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56">
        <f t="shared" si="20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7"/>
        <v>#DIV/0!</v>
      </c>
      <c r="Q38" s="56"/>
      <c r="R38" s="137"/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56">
        <f t="shared" si="20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7"/>
        <v>#DIV/0!</v>
      </c>
      <c r="Q39" s="56"/>
      <c r="R39" s="137"/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56">
        <f t="shared" si="20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7"/>
        <v>#DIV/0!</v>
      </c>
      <c r="Q40" s="56"/>
      <c r="R40" s="137"/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56">
        <f t="shared" si="20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7"/>
        <v>#DIV/0!</v>
      </c>
      <c r="Q41" s="56"/>
      <c r="R41" s="137"/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56">
        <f t="shared" si="20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7"/>
        <v>#DIV/0!</v>
      </c>
      <c r="Q42" s="56"/>
      <c r="R42" s="137"/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56">
        <f t="shared" si="20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7"/>
        <v>#DIV/0!</v>
      </c>
      <c r="Q43" s="56"/>
      <c r="R43" s="137"/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56">
        <f t="shared" si="20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7"/>
        <v>#DIV/0!</v>
      </c>
      <c r="Q44" s="56"/>
      <c r="R44" s="137"/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56">
        <f t="shared" si="20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7"/>
        <v>#DIV/0!</v>
      </c>
      <c r="Q45" s="56"/>
      <c r="R45" s="137"/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56">
        <f t="shared" si="20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7"/>
        <v>#DIV/0!</v>
      </c>
      <c r="Q46" s="56"/>
      <c r="R46" s="137"/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56">
        <f t="shared" si="20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7"/>
        <v>#DIV/0!</v>
      </c>
      <c r="Q47" s="56"/>
      <c r="R47" s="137"/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56">
        <f t="shared" si="20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7"/>
        <v>#DIV/0!</v>
      </c>
      <c r="Q48" s="56"/>
      <c r="R48" s="137"/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56">
        <f t="shared" si="20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7"/>
        <v>#DIV/0!</v>
      </c>
      <c r="Q49" s="56"/>
      <c r="R49" s="137"/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56">
        <f t="shared" si="20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7"/>
        <v>#DIV/0!</v>
      </c>
      <c r="Q50" s="56"/>
      <c r="R50" s="137"/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56">
        <f t="shared" si="20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7"/>
        <v>#DIV/0!</v>
      </c>
      <c r="Q51" s="56"/>
      <c r="R51" s="137"/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56">
        <f t="shared" si="20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7"/>
        <v>#DIV/0!</v>
      </c>
      <c r="Q52" s="56"/>
      <c r="R52" s="137"/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56">
        <f t="shared" si="20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7"/>
        <v>#DIV/0!</v>
      </c>
      <c r="Q53" s="56"/>
      <c r="R53" s="137"/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56">
        <f t="shared" si="20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7"/>
        <v>#DIV/0!</v>
      </c>
      <c r="Q54" s="56"/>
      <c r="R54" s="137"/>
    </row>
    <row r="55" spans="1:18" s="6" customFormat="1" ht="15.75">
      <c r="A55" s="8"/>
      <c r="B55" s="76" t="s">
        <v>185</v>
      </c>
      <c r="C55" s="65"/>
      <c r="D55" s="186">
        <v>28580</v>
      </c>
      <c r="E55" s="186">
        <v>4750</v>
      </c>
      <c r="F55" s="188">
        <v>4687.91</v>
      </c>
      <c r="G55" s="186">
        <f t="shared" si="14"/>
        <v>-62.090000000000146</v>
      </c>
      <c r="H55" s="188">
        <f t="shared" si="15"/>
        <v>98.69284210526315</v>
      </c>
      <c r="I55" s="187">
        <f t="shared" si="18"/>
        <v>-23892.09</v>
      </c>
      <c r="J55" s="187">
        <f t="shared" si="16"/>
        <v>16.402764170748775</v>
      </c>
      <c r="K55" s="187">
        <f>F55-4574.19</f>
        <v>113.72000000000025</v>
      </c>
      <c r="L55" s="187">
        <f>F55/4574.19*100</f>
        <v>102.48612322618868</v>
      </c>
      <c r="M55" s="40">
        <f t="shared" si="6"/>
        <v>4750</v>
      </c>
      <c r="N55" s="40">
        <f t="shared" si="7"/>
        <v>4687.91</v>
      </c>
      <c r="O55" s="53">
        <f t="shared" si="3"/>
        <v>-62.090000000000146</v>
      </c>
      <c r="P55" s="56">
        <f t="shared" si="17"/>
        <v>98.69284210526315</v>
      </c>
      <c r="Q55" s="56"/>
      <c r="R55" s="137"/>
    </row>
    <row r="56" spans="1:18" s="6" customFormat="1" ht="15.75" customHeight="1">
      <c r="A56" s="8"/>
      <c r="B56" s="15" t="s">
        <v>53</v>
      </c>
      <c r="C56" s="66">
        <v>18000000</v>
      </c>
      <c r="D56" s="41">
        <v>3500</v>
      </c>
      <c r="E56" s="41">
        <v>555</v>
      </c>
      <c r="F56" s="40">
        <v>527.8</v>
      </c>
      <c r="G56" s="49">
        <f aca="true" t="shared" si="21" ref="G56:G72">F56-E56</f>
        <v>-27.200000000000045</v>
      </c>
      <c r="H56" s="40">
        <f aca="true" t="shared" si="22" ref="H56:H67">F56/E56*100</f>
        <v>95.09909909909909</v>
      </c>
      <c r="I56" s="56">
        <f aca="true" t="shared" si="23" ref="I56:I72">F56-D56</f>
        <v>-2972.2</v>
      </c>
      <c r="J56" s="56">
        <f aca="true" t="shared" si="24" ref="J56:J72">F56/D56*100</f>
        <v>15.079999999999998</v>
      </c>
      <c r="K56" s="56">
        <f>F56-501.4</f>
        <v>26.399999999999977</v>
      </c>
      <c r="L56" s="56">
        <f>F56/501.4*100</f>
        <v>105.26525727961706</v>
      </c>
      <c r="M56" s="40">
        <f t="shared" si="6"/>
        <v>555</v>
      </c>
      <c r="N56" s="40">
        <f t="shared" si="7"/>
        <v>527.8</v>
      </c>
      <c r="O56" s="53">
        <f aca="true" t="shared" si="25" ref="O56:O72">N56-M56</f>
        <v>-27.200000000000045</v>
      </c>
      <c r="P56" s="56">
        <f aca="true" t="shared" si="26" ref="P56:P67">N56/M56*100</f>
        <v>95.09909909909909</v>
      </c>
      <c r="Q56" s="56">
        <f>N56-501.4</f>
        <v>26.399999999999977</v>
      </c>
      <c r="R56" s="137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1"/>
        <v>0</v>
      </c>
      <c r="H57" s="40" t="e">
        <f t="shared" si="22"/>
        <v>#DIV/0!</v>
      </c>
      <c r="I57" s="56">
        <f t="shared" si="23"/>
        <v>0</v>
      </c>
      <c r="J57" s="56" t="e">
        <f t="shared" si="24"/>
        <v>#DIV/0!</v>
      </c>
      <c r="K57" s="56"/>
      <c r="L57" s="56">
        <f>F57</f>
        <v>0</v>
      </c>
      <c r="M57" s="40">
        <f t="shared" si="6"/>
        <v>0</v>
      </c>
      <c r="N57" s="40">
        <f t="shared" si="7"/>
        <v>0</v>
      </c>
      <c r="O57" s="53">
        <f t="shared" si="25"/>
        <v>0</v>
      </c>
      <c r="P57" s="56" t="e">
        <f t="shared" si="26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1"/>
        <v>0</v>
      </c>
      <c r="H58" s="40" t="e">
        <f t="shared" si="22"/>
        <v>#DIV/0!</v>
      </c>
      <c r="I58" s="56">
        <f t="shared" si="23"/>
        <v>0</v>
      </c>
      <c r="J58" s="56" t="e">
        <f t="shared" si="24"/>
        <v>#DIV/0!</v>
      </c>
      <c r="K58" s="56"/>
      <c r="L58" s="56">
        <f>F58</f>
        <v>0</v>
      </c>
      <c r="M58" s="40">
        <f t="shared" si="6"/>
        <v>0</v>
      </c>
      <c r="N58" s="40">
        <f t="shared" si="7"/>
        <v>0</v>
      </c>
      <c r="O58" s="53">
        <f t="shared" si="25"/>
        <v>0</v>
      </c>
      <c r="P58" s="56" t="e">
        <f t="shared" si="26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1"/>
        <v>0</v>
      </c>
      <c r="H59" s="40" t="e">
        <f t="shared" si="22"/>
        <v>#DIV/0!</v>
      </c>
      <c r="I59" s="56">
        <f t="shared" si="23"/>
        <v>0</v>
      </c>
      <c r="J59" s="56" t="e">
        <f t="shared" si="24"/>
        <v>#DIV/0!</v>
      </c>
      <c r="K59" s="56"/>
      <c r="L59" s="56">
        <f>F59</f>
        <v>0</v>
      </c>
      <c r="M59" s="40">
        <f t="shared" si="6"/>
        <v>0</v>
      </c>
      <c r="N59" s="40">
        <f t="shared" si="7"/>
        <v>0</v>
      </c>
      <c r="O59" s="53">
        <f t="shared" si="25"/>
        <v>0</v>
      </c>
      <c r="P59" s="56" t="e">
        <f t="shared" si="26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1"/>
        <v>0</v>
      </c>
      <c r="H60" s="40" t="e">
        <f t="shared" si="22"/>
        <v>#DIV/0!</v>
      </c>
      <c r="I60" s="56">
        <f t="shared" si="23"/>
        <v>0</v>
      </c>
      <c r="J60" s="56" t="e">
        <f t="shared" si="24"/>
        <v>#DIV/0!</v>
      </c>
      <c r="K60" s="56"/>
      <c r="L60" s="56">
        <f>F60</f>
        <v>0</v>
      </c>
      <c r="M60" s="40">
        <f t="shared" si="6"/>
        <v>0</v>
      </c>
      <c r="N60" s="40">
        <f t="shared" si="7"/>
        <v>0</v>
      </c>
      <c r="O60" s="53">
        <f t="shared" si="25"/>
        <v>0</v>
      </c>
      <c r="P60" s="56" t="e">
        <f t="shared" si="26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1"/>
        <v>0</v>
      </c>
      <c r="H61" s="40" t="e">
        <f t="shared" si="22"/>
        <v>#DIV/0!</v>
      </c>
      <c r="I61" s="56">
        <f t="shared" si="23"/>
        <v>0</v>
      </c>
      <c r="J61" s="56" t="e">
        <f t="shared" si="24"/>
        <v>#DIV/0!</v>
      </c>
      <c r="K61" s="56"/>
      <c r="L61" s="56">
        <f>F61</f>
        <v>0</v>
      </c>
      <c r="M61" s="40">
        <f t="shared" si="6"/>
        <v>0</v>
      </c>
      <c r="N61" s="40">
        <f t="shared" si="7"/>
        <v>0</v>
      </c>
      <c r="O61" s="53">
        <f t="shared" si="25"/>
        <v>0</v>
      </c>
      <c r="P61" s="56" t="e">
        <f t="shared" si="26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1"/>
        <v>0</v>
      </c>
      <c r="H62" s="40" t="e">
        <f t="shared" si="22"/>
        <v>#DIV/0!</v>
      </c>
      <c r="I62" s="56">
        <f t="shared" si="23"/>
        <v>0</v>
      </c>
      <c r="J62" s="56" t="e">
        <f t="shared" si="24"/>
        <v>#DIV/0!</v>
      </c>
      <c r="K62" s="56"/>
      <c r="L62" s="56">
        <f>F62</f>
        <v>0</v>
      </c>
      <c r="M62" s="40">
        <f t="shared" si="6"/>
        <v>0</v>
      </c>
      <c r="N62" s="40">
        <f t="shared" si="7"/>
        <v>0</v>
      </c>
      <c r="O62" s="53">
        <f t="shared" si="25"/>
        <v>0</v>
      </c>
      <c r="P62" s="56" t="e">
        <f t="shared" si="26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1"/>
        <v>0</v>
      </c>
      <c r="H63" s="40" t="e">
        <f t="shared" si="22"/>
        <v>#DIV/0!</v>
      </c>
      <c r="I63" s="56">
        <f t="shared" si="23"/>
        <v>0</v>
      </c>
      <c r="J63" s="56" t="e">
        <f t="shared" si="24"/>
        <v>#DIV/0!</v>
      </c>
      <c r="K63" s="56"/>
      <c r="L63" s="56">
        <f>F63</f>
        <v>0</v>
      </c>
      <c r="M63" s="40">
        <f t="shared" si="6"/>
        <v>0</v>
      </c>
      <c r="N63" s="40">
        <f t="shared" si="7"/>
        <v>0</v>
      </c>
      <c r="O63" s="53">
        <f t="shared" si="25"/>
        <v>0</v>
      </c>
      <c r="P63" s="56" t="e">
        <f t="shared" si="26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1"/>
        <v>0</v>
      </c>
      <c r="H64" s="40" t="e">
        <f t="shared" si="22"/>
        <v>#DIV/0!</v>
      </c>
      <c r="I64" s="56">
        <f t="shared" si="23"/>
        <v>0</v>
      </c>
      <c r="J64" s="56" t="e">
        <f t="shared" si="24"/>
        <v>#DIV/0!</v>
      </c>
      <c r="K64" s="56"/>
      <c r="L64" s="56">
        <f>F64</f>
        <v>0</v>
      </c>
      <c r="M64" s="40">
        <f t="shared" si="6"/>
        <v>0</v>
      </c>
      <c r="N64" s="40">
        <f t="shared" si="7"/>
        <v>0</v>
      </c>
      <c r="O64" s="53">
        <f t="shared" si="25"/>
        <v>0</v>
      </c>
      <c r="P64" s="56" t="e">
        <f t="shared" si="26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1"/>
        <v>0</v>
      </c>
      <c r="H65" s="40" t="e">
        <f t="shared" si="22"/>
        <v>#DIV/0!</v>
      </c>
      <c r="I65" s="56">
        <f t="shared" si="23"/>
        <v>0</v>
      </c>
      <c r="J65" s="56" t="e">
        <f t="shared" si="24"/>
        <v>#DIV/0!</v>
      </c>
      <c r="K65" s="56"/>
      <c r="L65" s="56">
        <f>F65</f>
        <v>0</v>
      </c>
      <c r="M65" s="40">
        <f t="shared" si="6"/>
        <v>0</v>
      </c>
      <c r="N65" s="40">
        <f t="shared" si="7"/>
        <v>0</v>
      </c>
      <c r="O65" s="53">
        <f t="shared" si="25"/>
        <v>0</v>
      </c>
      <c r="P65" s="56" t="e">
        <f t="shared" si="26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1"/>
        <v>0</v>
      </c>
      <c r="H66" s="40" t="e">
        <f t="shared" si="22"/>
        <v>#DIV/0!</v>
      </c>
      <c r="I66" s="56">
        <f t="shared" si="23"/>
        <v>0</v>
      </c>
      <c r="J66" s="56" t="e">
        <f t="shared" si="24"/>
        <v>#DIV/0!</v>
      </c>
      <c r="K66" s="56"/>
      <c r="L66" s="56">
        <f>F66</f>
        <v>0</v>
      </c>
      <c r="M66" s="40">
        <f t="shared" si="6"/>
        <v>0</v>
      </c>
      <c r="N66" s="40">
        <f t="shared" si="7"/>
        <v>0</v>
      </c>
      <c r="O66" s="53">
        <f t="shared" si="25"/>
        <v>0</v>
      </c>
      <c r="P66" s="56" t="e">
        <f t="shared" si="26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1"/>
        <v>0</v>
      </c>
      <c r="H67" s="40" t="e">
        <f t="shared" si="22"/>
        <v>#DIV/0!</v>
      </c>
      <c r="I67" s="56">
        <f t="shared" si="23"/>
        <v>0</v>
      </c>
      <c r="J67" s="56" t="e">
        <f t="shared" si="24"/>
        <v>#DIV/0!</v>
      </c>
      <c r="K67" s="56"/>
      <c r="L67" s="56">
        <f>F67</f>
        <v>0</v>
      </c>
      <c r="M67" s="40">
        <f t="shared" si="6"/>
        <v>0</v>
      </c>
      <c r="N67" s="40">
        <f t="shared" si="7"/>
        <v>0</v>
      </c>
      <c r="O67" s="53">
        <f t="shared" si="25"/>
        <v>0</v>
      </c>
      <c r="P67" s="56" t="e">
        <f t="shared" si="26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</v>
      </c>
      <c r="F68" s="40">
        <v>0.15</v>
      </c>
      <c r="G68" s="49">
        <f t="shared" si="21"/>
        <v>0.15</v>
      </c>
      <c r="H68" s="40"/>
      <c r="I68" s="56">
        <f t="shared" si="23"/>
        <v>0.04999999999999999</v>
      </c>
      <c r="J68" s="56">
        <f t="shared" si="24"/>
        <v>149.99999999999997</v>
      </c>
      <c r="K68" s="56">
        <f>F68-0.2</f>
        <v>-0.05000000000000002</v>
      </c>
      <c r="L68" s="56"/>
      <c r="M68" s="40">
        <f t="shared" si="6"/>
        <v>0</v>
      </c>
      <c r="N68" s="40">
        <f t="shared" si="7"/>
        <v>0.15</v>
      </c>
      <c r="O68" s="53">
        <f t="shared" si="25"/>
        <v>0.15</v>
      </c>
      <c r="P68" s="56"/>
      <c r="Q68" s="56">
        <f>N68-0.2</f>
        <v>-0.05000000000000002</v>
      </c>
      <c r="R68" s="137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1"/>
        <v>0</v>
      </c>
      <c r="H69" s="40" t="e">
        <f>F69/E69*100</f>
        <v>#DIV/0!</v>
      </c>
      <c r="I69" s="56">
        <f t="shared" si="23"/>
        <v>0</v>
      </c>
      <c r="J69" s="56" t="e">
        <f t="shared" si="24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5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1"/>
        <v>0</v>
      </c>
      <c r="H70" s="40" t="e">
        <f>F70/E70*100</f>
        <v>#DIV/0!</v>
      </c>
      <c r="I70" s="56">
        <f t="shared" si="23"/>
        <v>0</v>
      </c>
      <c r="J70" s="56" t="e">
        <f t="shared" si="24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5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1"/>
        <v>0</v>
      </c>
      <c r="H71" s="40" t="e">
        <f>F71/E71*100</f>
        <v>#DIV/0!</v>
      </c>
      <c r="I71" s="56">
        <f t="shared" si="23"/>
        <v>-4590</v>
      </c>
      <c r="J71" s="56">
        <f t="shared" si="24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5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1"/>
        <v>0</v>
      </c>
      <c r="H72" s="40" t="e">
        <f>F72/E72*100</f>
        <v>#DIV/0!</v>
      </c>
      <c r="I72" s="56">
        <f t="shared" si="23"/>
        <v>-4410</v>
      </c>
      <c r="J72" s="56">
        <f t="shared" si="24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5"/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7706.1</v>
      </c>
      <c r="E74" s="22">
        <f>E77+E86+E87+E88+E89+E95+E96+E97+E99+E103</f>
        <v>1056.1</v>
      </c>
      <c r="F74" s="22">
        <f>F77+F86+F88+F89+F94+F95+F96+F97+F99+F103+F87</f>
        <v>1017.63</v>
      </c>
      <c r="G74" s="50">
        <f aca="true" t="shared" si="27" ref="G74:G92">F74-E74</f>
        <v>-38.469999999999914</v>
      </c>
      <c r="H74" s="51">
        <f aca="true" t="shared" si="28" ref="H74:H86">F74/E74*100</f>
        <v>96.3573525234353</v>
      </c>
      <c r="I74" s="36">
        <f aca="true" t="shared" si="29" ref="I74:I92">F74-D74</f>
        <v>-6688.47</v>
      </c>
      <c r="J74" s="36">
        <f aca="true" t="shared" si="30" ref="J74:J92">F74/D74*100</f>
        <v>13.205512516058707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1056.1</v>
      </c>
      <c r="N74" s="22">
        <f>N77+N86+N88+N89+N94+N95+N96+N97+N99+N32+N103+N87</f>
        <v>1017.63</v>
      </c>
      <c r="O74" s="55">
        <f aca="true" t="shared" si="31" ref="O74:O92">N74-M74</f>
        <v>-38.469999999999914</v>
      </c>
      <c r="P74" s="36">
        <f>N74/M74*100</f>
        <v>96.3573525234353</v>
      </c>
      <c r="Q74" s="36">
        <f>N74-920</f>
        <v>97.63</v>
      </c>
      <c r="R74" s="138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7"/>
        <v>#REF!</v>
      </c>
      <c r="H75" s="40" t="e">
        <f t="shared" si="28"/>
        <v>#REF!</v>
      </c>
      <c r="I75" s="56" t="e">
        <f t="shared" si="29"/>
        <v>#REF!</v>
      </c>
      <c r="J75" s="56" t="e">
        <f t="shared" si="30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1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7"/>
        <v>0</v>
      </c>
      <c r="H76" s="40" t="e">
        <f t="shared" si="28"/>
        <v>#DIV/0!</v>
      </c>
      <c r="I76" s="56" t="e">
        <f t="shared" si="29"/>
        <v>#REF!</v>
      </c>
      <c r="J76" s="56" t="e">
        <f t="shared" si="30"/>
        <v>#REF!</v>
      </c>
      <c r="K76" s="56"/>
      <c r="L76" s="56"/>
      <c r="M76" s="59"/>
      <c r="N76" s="59"/>
      <c r="O76" s="53">
        <f t="shared" si="31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671</v>
      </c>
      <c r="E77" s="41">
        <v>1</v>
      </c>
      <c r="F77" s="57">
        <v>0</v>
      </c>
      <c r="G77" s="49">
        <f t="shared" si="27"/>
        <v>-1</v>
      </c>
      <c r="H77" s="40">
        <f t="shared" si="28"/>
        <v>0</v>
      </c>
      <c r="I77" s="56">
        <f t="shared" si="29"/>
        <v>-671</v>
      </c>
      <c r="J77" s="56">
        <f t="shared" si="30"/>
        <v>0</v>
      </c>
      <c r="K77" s="56">
        <f>F77-0.9</f>
        <v>-0.9</v>
      </c>
      <c r="L77" s="56">
        <f>F77/0.9*100</f>
        <v>0</v>
      </c>
      <c r="M77" s="40">
        <f>E77</f>
        <v>1</v>
      </c>
      <c r="N77" s="40">
        <f>F77</f>
        <v>0</v>
      </c>
      <c r="O77" s="53">
        <f t="shared" si="31"/>
        <v>-1</v>
      </c>
      <c r="P77" s="56">
        <f aca="true" t="shared" si="32" ref="P77:P86">N77/M77*100</f>
        <v>0</v>
      </c>
      <c r="Q77" s="56">
        <f>N77-0.9</f>
        <v>-0.9</v>
      </c>
      <c r="R77" s="137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7"/>
        <v>0</v>
      </c>
      <c r="H78" s="40" t="e">
        <f t="shared" si="28"/>
        <v>#DIV/0!</v>
      </c>
      <c r="I78" s="56">
        <f t="shared" si="29"/>
        <v>0</v>
      </c>
      <c r="J78" s="56" t="e">
        <f t="shared" si="30"/>
        <v>#DIV/0!</v>
      </c>
      <c r="K78" s="56"/>
      <c r="L78" s="56">
        <f aca="true" t="shared" si="33" ref="L78:L101">F78</f>
        <v>0</v>
      </c>
      <c r="M78" s="40">
        <f aca="true" t="shared" si="34" ref="M78:M105">E78</f>
        <v>0</v>
      </c>
      <c r="N78" s="40">
        <f aca="true" t="shared" si="35" ref="N78:N105">F78</f>
        <v>0</v>
      </c>
      <c r="O78" s="53">
        <f t="shared" si="31"/>
        <v>0</v>
      </c>
      <c r="P78" s="56" t="e">
        <f t="shared" si="32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7"/>
        <v>0</v>
      </c>
      <c r="H79" s="40" t="e">
        <f t="shared" si="28"/>
        <v>#DIV/0!</v>
      </c>
      <c r="I79" s="56">
        <f t="shared" si="29"/>
        <v>0</v>
      </c>
      <c r="J79" s="56" t="e">
        <f t="shared" si="30"/>
        <v>#DIV/0!</v>
      </c>
      <c r="K79" s="56"/>
      <c r="L79" s="56">
        <f t="shared" si="33"/>
        <v>0</v>
      </c>
      <c r="M79" s="40">
        <f t="shared" si="34"/>
        <v>0</v>
      </c>
      <c r="N79" s="40">
        <f t="shared" si="35"/>
        <v>0</v>
      </c>
      <c r="O79" s="53">
        <f t="shared" si="31"/>
        <v>0</v>
      </c>
      <c r="P79" s="56" t="e">
        <f t="shared" si="32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7"/>
        <v>0</v>
      </c>
      <c r="H80" s="40" t="e">
        <f t="shared" si="28"/>
        <v>#DIV/0!</v>
      </c>
      <c r="I80" s="56">
        <f t="shared" si="29"/>
        <v>0</v>
      </c>
      <c r="J80" s="56" t="e">
        <f t="shared" si="30"/>
        <v>#DIV/0!</v>
      </c>
      <c r="K80" s="56"/>
      <c r="L80" s="56">
        <f t="shared" si="33"/>
        <v>0</v>
      </c>
      <c r="M80" s="40">
        <f t="shared" si="34"/>
        <v>0</v>
      </c>
      <c r="N80" s="40">
        <f t="shared" si="35"/>
        <v>0</v>
      </c>
      <c r="O80" s="53">
        <f t="shared" si="31"/>
        <v>0</v>
      </c>
      <c r="P80" s="56" t="e">
        <f t="shared" si="32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7"/>
        <v>0</v>
      </c>
      <c r="H81" s="40" t="e">
        <f t="shared" si="28"/>
        <v>#DIV/0!</v>
      </c>
      <c r="I81" s="56">
        <f t="shared" si="29"/>
        <v>0</v>
      </c>
      <c r="J81" s="56" t="e">
        <f t="shared" si="30"/>
        <v>#DIV/0!</v>
      </c>
      <c r="K81" s="56"/>
      <c r="L81" s="56">
        <f t="shared" si="33"/>
        <v>0</v>
      </c>
      <c r="M81" s="40">
        <f t="shared" si="34"/>
        <v>0</v>
      </c>
      <c r="N81" s="40">
        <f t="shared" si="35"/>
        <v>0</v>
      </c>
      <c r="O81" s="53">
        <f t="shared" si="31"/>
        <v>0</v>
      </c>
      <c r="P81" s="56" t="e">
        <f t="shared" si="32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7"/>
        <v>0</v>
      </c>
      <c r="H82" s="40" t="e">
        <f t="shared" si="28"/>
        <v>#DIV/0!</v>
      </c>
      <c r="I82" s="56">
        <f t="shared" si="29"/>
        <v>0</v>
      </c>
      <c r="J82" s="56" t="e">
        <f t="shared" si="30"/>
        <v>#DIV/0!</v>
      </c>
      <c r="K82" s="56"/>
      <c r="L82" s="56">
        <f t="shared" si="33"/>
        <v>0</v>
      </c>
      <c r="M82" s="40">
        <f t="shared" si="34"/>
        <v>0</v>
      </c>
      <c r="N82" s="40">
        <f t="shared" si="35"/>
        <v>0</v>
      </c>
      <c r="O82" s="53">
        <f t="shared" si="31"/>
        <v>0</v>
      </c>
      <c r="P82" s="56" t="e">
        <f t="shared" si="32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7"/>
        <v>0</v>
      </c>
      <c r="H83" s="40" t="e">
        <f t="shared" si="28"/>
        <v>#DIV/0!</v>
      </c>
      <c r="I83" s="56">
        <f t="shared" si="29"/>
        <v>0</v>
      </c>
      <c r="J83" s="56" t="e">
        <f t="shared" si="30"/>
        <v>#DIV/0!</v>
      </c>
      <c r="K83" s="56"/>
      <c r="L83" s="56">
        <f t="shared" si="33"/>
        <v>0</v>
      </c>
      <c r="M83" s="40">
        <f t="shared" si="34"/>
        <v>0</v>
      </c>
      <c r="N83" s="40">
        <f t="shared" si="35"/>
        <v>0</v>
      </c>
      <c r="O83" s="53">
        <f t="shared" si="31"/>
        <v>0</v>
      </c>
      <c r="P83" s="56" t="e">
        <f t="shared" si="32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7"/>
        <v>0</v>
      </c>
      <c r="H84" s="40" t="e">
        <f t="shared" si="28"/>
        <v>#DIV/0!</v>
      </c>
      <c r="I84" s="56">
        <f t="shared" si="29"/>
        <v>0</v>
      </c>
      <c r="J84" s="56" t="e">
        <f t="shared" si="30"/>
        <v>#DIV/0!</v>
      </c>
      <c r="K84" s="56"/>
      <c r="L84" s="56">
        <f t="shared" si="33"/>
        <v>0</v>
      </c>
      <c r="M84" s="40">
        <f t="shared" si="34"/>
        <v>0</v>
      </c>
      <c r="N84" s="40">
        <f t="shared" si="35"/>
        <v>0</v>
      </c>
      <c r="O84" s="53">
        <f t="shared" si="31"/>
        <v>0</v>
      </c>
      <c r="P84" s="56" t="e">
        <f t="shared" si="32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7"/>
        <v>0</v>
      </c>
      <c r="H85" s="40" t="e">
        <f t="shared" si="28"/>
        <v>#DIV/0!</v>
      </c>
      <c r="I85" s="56">
        <f t="shared" si="29"/>
        <v>0</v>
      </c>
      <c r="J85" s="56" t="e">
        <f t="shared" si="30"/>
        <v>#DIV/0!</v>
      </c>
      <c r="K85" s="56"/>
      <c r="L85" s="56">
        <f t="shared" si="33"/>
        <v>0</v>
      </c>
      <c r="M85" s="40">
        <f t="shared" si="34"/>
        <v>0</v>
      </c>
      <c r="N85" s="40">
        <f t="shared" si="35"/>
        <v>0</v>
      </c>
      <c r="O85" s="53">
        <f t="shared" si="31"/>
        <v>0</v>
      </c>
      <c r="P85" s="56" t="e">
        <f t="shared" si="32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700</v>
      </c>
      <c r="E86" s="41">
        <v>0</v>
      </c>
      <c r="F86" s="57">
        <v>0</v>
      </c>
      <c r="G86" s="49">
        <f t="shared" si="27"/>
        <v>0</v>
      </c>
      <c r="H86" s="40" t="e">
        <f t="shared" si="28"/>
        <v>#DIV/0!</v>
      </c>
      <c r="I86" s="56">
        <f t="shared" si="29"/>
        <v>-700</v>
      </c>
      <c r="J86" s="56">
        <f t="shared" si="30"/>
        <v>0</v>
      </c>
      <c r="K86" s="56">
        <f>F86-0</f>
        <v>0</v>
      </c>
      <c r="L86" s="56" t="e">
        <f>F86/0*100</f>
        <v>#DIV/0!</v>
      </c>
      <c r="M86" s="40">
        <f t="shared" si="34"/>
        <v>0</v>
      </c>
      <c r="N86" s="40">
        <f t="shared" si="35"/>
        <v>0</v>
      </c>
      <c r="O86" s="53">
        <f t="shared" si="31"/>
        <v>0</v>
      </c>
      <c r="P86" s="56" t="e">
        <f t="shared" si="32"/>
        <v>#DIV/0!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169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4"/>
        <v>0</v>
      </c>
      <c r="N87" s="40">
        <f t="shared" si="35"/>
        <v>4.23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0.1</v>
      </c>
      <c r="F88" s="57">
        <v>0</v>
      </c>
      <c r="G88" s="49">
        <f t="shared" si="27"/>
        <v>-0.1</v>
      </c>
      <c r="H88" s="40">
        <f>F88/E88*100</f>
        <v>0</v>
      </c>
      <c r="I88" s="56">
        <f t="shared" si="29"/>
        <v>-5.1</v>
      </c>
      <c r="J88" s="56">
        <f t="shared" si="30"/>
        <v>0</v>
      </c>
      <c r="K88" s="56">
        <f>F88-0</f>
        <v>0</v>
      </c>
      <c r="L88" s="56" t="e">
        <f>F88/0*100</f>
        <v>#DIV/0!</v>
      </c>
      <c r="M88" s="40">
        <f t="shared" si="34"/>
        <v>0.1</v>
      </c>
      <c r="N88" s="40">
        <f t="shared" si="35"/>
        <v>0</v>
      </c>
      <c r="O88" s="53">
        <f t="shared" si="31"/>
        <v>-0.1</v>
      </c>
      <c r="P88" s="56">
        <f>N88/M88*100</f>
        <v>0</v>
      </c>
      <c r="Q88" s="56">
        <f>N88-0</f>
        <v>0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60</v>
      </c>
      <c r="E89" s="41">
        <v>10</v>
      </c>
      <c r="F89" s="57">
        <v>9.02</v>
      </c>
      <c r="G89" s="49">
        <f t="shared" si="27"/>
        <v>-0.9800000000000004</v>
      </c>
      <c r="H89" s="40">
        <f>F89/E89*100</f>
        <v>90.19999999999999</v>
      </c>
      <c r="I89" s="56">
        <f t="shared" si="29"/>
        <v>-50.980000000000004</v>
      </c>
      <c r="J89" s="56">
        <f t="shared" si="30"/>
        <v>15.033333333333331</v>
      </c>
      <c r="K89" s="56">
        <f>F89-11.9</f>
        <v>-2.880000000000001</v>
      </c>
      <c r="L89" s="56">
        <f>F89/11.9*100</f>
        <v>75.7983193277311</v>
      </c>
      <c r="M89" s="40">
        <f t="shared" si="34"/>
        <v>10</v>
      </c>
      <c r="N89" s="40">
        <f t="shared" si="35"/>
        <v>9.02</v>
      </c>
      <c r="O89" s="53">
        <f t="shared" si="31"/>
        <v>-0.9800000000000004</v>
      </c>
      <c r="P89" s="56">
        <f>N89/M89*100</f>
        <v>90.19999999999999</v>
      </c>
      <c r="Q89" s="56">
        <f>N89-11.9</f>
        <v>-2.880000000000001</v>
      </c>
      <c r="R89" s="137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7"/>
        <v>0</v>
      </c>
      <c r="H90" s="40" t="e">
        <f>F90/E90*100</f>
        <v>#DIV/0!</v>
      </c>
      <c r="I90" s="56">
        <f t="shared" si="29"/>
        <v>0</v>
      </c>
      <c r="J90" s="56" t="e">
        <f t="shared" si="30"/>
        <v>#DIV/0!</v>
      </c>
      <c r="K90" s="56"/>
      <c r="L90" s="56">
        <f t="shared" si="33"/>
        <v>0</v>
      </c>
      <c r="M90" s="40">
        <f t="shared" si="34"/>
        <v>0</v>
      </c>
      <c r="N90" s="40">
        <f t="shared" si="35"/>
        <v>0</v>
      </c>
      <c r="O90" s="53">
        <f t="shared" si="31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7"/>
        <v>0</v>
      </c>
      <c r="H91" s="40" t="e">
        <f>F91/E91*100</f>
        <v>#DIV/0!</v>
      </c>
      <c r="I91" s="56">
        <f t="shared" si="29"/>
        <v>0</v>
      </c>
      <c r="J91" s="56" t="e">
        <f t="shared" si="30"/>
        <v>#DIV/0!</v>
      </c>
      <c r="K91" s="56"/>
      <c r="L91" s="56">
        <f t="shared" si="33"/>
        <v>0</v>
      </c>
      <c r="M91" s="40">
        <f t="shared" si="34"/>
        <v>0</v>
      </c>
      <c r="N91" s="40">
        <f t="shared" si="35"/>
        <v>0</v>
      </c>
      <c r="O91" s="53">
        <f t="shared" si="31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7"/>
        <v>0</v>
      </c>
      <c r="H92" s="40" t="e">
        <f>F92/E92*100</f>
        <v>#DIV/0!</v>
      </c>
      <c r="I92" s="56">
        <f t="shared" si="29"/>
        <v>0</v>
      </c>
      <c r="J92" s="56" t="e">
        <f t="shared" si="30"/>
        <v>#DIV/0!</v>
      </c>
      <c r="K92" s="56"/>
      <c r="L92" s="56">
        <f t="shared" si="33"/>
        <v>0</v>
      </c>
      <c r="M92" s="40">
        <f t="shared" si="34"/>
        <v>0</v>
      </c>
      <c r="N92" s="40">
        <f t="shared" si="35"/>
        <v>0</v>
      </c>
      <c r="O92" s="53">
        <f t="shared" si="31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3"/>
        <v>0</v>
      </c>
      <c r="M93" s="40">
        <f t="shared" si="34"/>
        <v>0</v>
      </c>
      <c r="N93" s="40">
        <f t="shared" si="35"/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6" ref="G94:G101">F94-E94</f>
        <v>0</v>
      </c>
      <c r="H94" s="40"/>
      <c r="I94" s="56">
        <f aca="true" t="shared" si="37" ref="I94:I100">F94-D94</f>
        <v>0</v>
      </c>
      <c r="J94" s="56"/>
      <c r="K94" s="56"/>
      <c r="L94" s="56">
        <f t="shared" si="33"/>
        <v>0</v>
      </c>
      <c r="M94" s="40">
        <f t="shared" si="34"/>
        <v>0</v>
      </c>
      <c r="N94" s="40">
        <f t="shared" si="35"/>
        <v>0</v>
      </c>
      <c r="O94" s="53">
        <f aca="true" t="shared" si="38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3780</v>
      </c>
      <c r="E95" s="41">
        <v>630</v>
      </c>
      <c r="F95" s="57">
        <v>647.49</v>
      </c>
      <c r="G95" s="49">
        <f t="shared" si="36"/>
        <v>17.49000000000001</v>
      </c>
      <c r="H95" s="40">
        <f>F95/E95*100</f>
        <v>102.7761904761905</v>
      </c>
      <c r="I95" s="56">
        <f t="shared" si="37"/>
        <v>-3132.51</v>
      </c>
      <c r="J95" s="56">
        <f>F95/D95*100</f>
        <v>17.12936507936508</v>
      </c>
      <c r="K95" s="56">
        <f>F95-638.2</f>
        <v>9.289999999999964</v>
      </c>
      <c r="L95" s="56">
        <f>F95/638.2*100</f>
        <v>101.45565653400188</v>
      </c>
      <c r="M95" s="40">
        <f t="shared" si="34"/>
        <v>630</v>
      </c>
      <c r="N95" s="40">
        <f t="shared" si="35"/>
        <v>647.49</v>
      </c>
      <c r="O95" s="53">
        <f t="shared" si="38"/>
        <v>17.49000000000001</v>
      </c>
      <c r="P95" s="56">
        <f>N95/M95*100</f>
        <v>102.7761904761905</v>
      </c>
      <c r="Q95" s="56">
        <f>N95-638.2</f>
        <v>9.289999999999964</v>
      </c>
      <c r="R95" s="137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510</v>
      </c>
      <c r="E96" s="41">
        <v>85</v>
      </c>
      <c r="F96" s="57">
        <v>79.51</v>
      </c>
      <c r="G96" s="49">
        <f t="shared" si="36"/>
        <v>-5.489999999999995</v>
      </c>
      <c r="H96" s="40">
        <f>F96/E96*100</f>
        <v>93.54117647058824</v>
      </c>
      <c r="I96" s="56">
        <f t="shared" si="37"/>
        <v>-430.49</v>
      </c>
      <c r="J96" s="56">
        <f>F96/D96*100</f>
        <v>15.590196078431372</v>
      </c>
      <c r="K96" s="56">
        <f>F96-17.2</f>
        <v>62.31</v>
      </c>
      <c r="L96" s="56">
        <f>F96/17.2*100</f>
        <v>462.2674418604651</v>
      </c>
      <c r="M96" s="40">
        <f t="shared" si="34"/>
        <v>85</v>
      </c>
      <c r="N96" s="40">
        <f t="shared" si="35"/>
        <v>79.51</v>
      </c>
      <c r="O96" s="53">
        <f t="shared" si="38"/>
        <v>-5.489999999999995</v>
      </c>
      <c r="P96" s="56">
        <f>N96/M96*100</f>
        <v>93.54117647058824</v>
      </c>
      <c r="Q96" s="56">
        <f>N96-17.2</f>
        <v>62.31</v>
      </c>
      <c r="R96" s="137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0</v>
      </c>
      <c r="E97" s="41">
        <v>0</v>
      </c>
      <c r="F97" s="57">
        <v>0</v>
      </c>
      <c r="G97" s="49">
        <f t="shared" si="36"/>
        <v>0</v>
      </c>
      <c r="H97" s="40"/>
      <c r="I97" s="56">
        <f t="shared" si="37"/>
        <v>0</v>
      </c>
      <c r="J97" s="56"/>
      <c r="K97" s="56"/>
      <c r="L97" s="56"/>
      <c r="M97" s="40">
        <f t="shared" si="34"/>
        <v>0</v>
      </c>
      <c r="N97" s="40">
        <f t="shared" si="35"/>
        <v>0</v>
      </c>
      <c r="O97" s="53">
        <f t="shared" si="38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6"/>
        <v>0</v>
      </c>
      <c r="H98" s="40" t="e">
        <f>F98/E98*100</f>
        <v>#DIV/0!</v>
      </c>
      <c r="I98" s="56">
        <f t="shared" si="37"/>
        <v>0</v>
      </c>
      <c r="J98" s="56" t="e">
        <f>F98/D98*100</f>
        <v>#DIV/0!</v>
      </c>
      <c r="K98" s="56"/>
      <c r="L98" s="56">
        <f t="shared" si="33"/>
        <v>0</v>
      </c>
      <c r="M98" s="40">
        <f t="shared" si="34"/>
        <v>0</v>
      </c>
      <c r="N98" s="40">
        <f t="shared" si="35"/>
        <v>0</v>
      </c>
      <c r="O98" s="53">
        <f t="shared" si="38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1980</v>
      </c>
      <c r="E99" s="41">
        <v>330</v>
      </c>
      <c r="F99" s="57">
        <v>277.38</v>
      </c>
      <c r="G99" s="49">
        <f t="shared" si="36"/>
        <v>-52.620000000000005</v>
      </c>
      <c r="H99" s="40">
        <f>F99/E99*100</f>
        <v>84.05454545454545</v>
      </c>
      <c r="I99" s="56">
        <f t="shared" si="37"/>
        <v>-1702.62</v>
      </c>
      <c r="J99" s="56">
        <f>F99/D99*100</f>
        <v>14.00909090909091</v>
      </c>
      <c r="K99" s="56">
        <f>F99-236.4</f>
        <v>40.97999999999999</v>
      </c>
      <c r="L99" s="56">
        <f>F99/236.5*100</f>
        <v>117.28541226215646</v>
      </c>
      <c r="M99" s="40">
        <f t="shared" si="34"/>
        <v>330</v>
      </c>
      <c r="N99" s="40">
        <f t="shared" si="35"/>
        <v>277.38</v>
      </c>
      <c r="O99" s="53">
        <f t="shared" si="38"/>
        <v>-52.620000000000005</v>
      </c>
      <c r="P99" s="56">
        <f>N99/M99*100</f>
        <v>84.05454545454545</v>
      </c>
      <c r="Q99" s="56">
        <f>N99-236.4</f>
        <v>40.97999999999999</v>
      </c>
      <c r="R99" s="137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6"/>
        <v>0</v>
      </c>
      <c r="H100" s="40" t="e">
        <f>F100/E100*100</f>
        <v>#DIV/0!</v>
      </c>
      <c r="I100" s="56">
        <f t="shared" si="37"/>
        <v>0</v>
      </c>
      <c r="J100" s="56" t="e">
        <f>F100/D100*100</f>
        <v>#DIV/0!</v>
      </c>
      <c r="K100" s="56"/>
      <c r="L100" s="56">
        <f t="shared" si="33"/>
        <v>0</v>
      </c>
      <c r="M100" s="40">
        <f t="shared" si="34"/>
        <v>0</v>
      </c>
      <c r="N100" s="40">
        <f t="shared" si="35"/>
        <v>0</v>
      </c>
      <c r="O100" s="53">
        <f t="shared" si="38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6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3"/>
        <v>0</v>
      </c>
      <c r="M101" s="40">
        <f t="shared" si="34"/>
        <v>0</v>
      </c>
      <c r="N101" s="40">
        <f t="shared" si="35"/>
        <v>0</v>
      </c>
      <c r="O101" s="53">
        <f t="shared" si="38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86"/>
      <c r="E102" s="186"/>
      <c r="F102" s="189">
        <v>64.7</v>
      </c>
      <c r="G102" s="186"/>
      <c r="H102" s="188"/>
      <c r="I102" s="187"/>
      <c r="J102" s="187"/>
      <c r="K102" s="187">
        <f>F102-30.6</f>
        <v>34.1</v>
      </c>
      <c r="L102" s="190">
        <f>F102/30.6*100</f>
        <v>211.43790849673204</v>
      </c>
      <c r="M102" s="40">
        <f t="shared" si="34"/>
        <v>0</v>
      </c>
      <c r="N102" s="40">
        <f t="shared" si="35"/>
        <v>64.7</v>
      </c>
      <c r="O102" s="53"/>
      <c r="P102" s="56"/>
      <c r="Q102" s="56">
        <f>N102-30.6</f>
        <v>34.1</v>
      </c>
      <c r="R102" s="137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0</v>
      </c>
      <c r="E103" s="41">
        <v>0</v>
      </c>
      <c r="F103" s="57">
        <v>0</v>
      </c>
      <c r="G103" s="49"/>
      <c r="H103" s="40"/>
      <c r="I103" s="56">
        <f aca="true" t="shared" si="39" ref="I103:I110">F103-D103</f>
        <v>0</v>
      </c>
      <c r="J103" s="56"/>
      <c r="K103" s="56">
        <f>F103-0</f>
        <v>0</v>
      </c>
      <c r="L103" s="56" t="e">
        <f>F103/0*100</f>
        <v>#DIV/0!</v>
      </c>
      <c r="M103" s="40">
        <f t="shared" si="34"/>
        <v>0</v>
      </c>
      <c r="N103" s="40">
        <f t="shared" si="35"/>
        <v>0</v>
      </c>
      <c r="O103" s="53">
        <f aca="true" t="shared" si="40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6</v>
      </c>
      <c r="E104" s="41">
        <v>1</v>
      </c>
      <c r="F104" s="57">
        <v>2.21</v>
      </c>
      <c r="G104" s="49">
        <f>F104-E104</f>
        <v>1.21</v>
      </c>
      <c r="H104" s="40"/>
      <c r="I104" s="56">
        <f t="shared" si="39"/>
        <v>-3.79</v>
      </c>
      <c r="J104" s="56">
        <f aca="true" t="shared" si="41" ref="J104:J109">F104/D104*100</f>
        <v>36.833333333333336</v>
      </c>
      <c r="K104" s="56">
        <f>F104-0</f>
        <v>2.21</v>
      </c>
      <c r="L104" s="56" t="e">
        <f>F104/0*100</f>
        <v>#DIV/0!</v>
      </c>
      <c r="M104" s="40">
        <f t="shared" si="34"/>
        <v>1</v>
      </c>
      <c r="N104" s="40">
        <f t="shared" si="35"/>
        <v>2.21</v>
      </c>
      <c r="O104" s="53">
        <f t="shared" si="40"/>
        <v>1.21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4"/>
        <v>0</v>
      </c>
      <c r="N105" s="40">
        <f t="shared" si="35"/>
        <v>0</v>
      </c>
      <c r="O105" s="53">
        <f t="shared" si="40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230977.2</v>
      </c>
      <c r="E106" s="22">
        <f>E8+E74+E104+E105</f>
        <v>35262.1</v>
      </c>
      <c r="F106" s="22">
        <f>F8+F74+F104+F105</f>
        <v>34768</v>
      </c>
      <c r="G106" s="50">
        <f>F106-E106</f>
        <v>-494.09999999999854</v>
      </c>
      <c r="H106" s="51">
        <f>F106/E106*100</f>
        <v>98.59877885888815</v>
      </c>
      <c r="I106" s="36">
        <f t="shared" si="39"/>
        <v>-196209.2</v>
      </c>
      <c r="J106" s="36">
        <f t="shared" si="41"/>
        <v>15.052567959088602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35262.1</v>
      </c>
      <c r="N106" s="22">
        <f>N8+N74+N104+N105</f>
        <v>34768</v>
      </c>
      <c r="O106" s="55">
        <f t="shared" si="40"/>
        <v>-494.09999999999854</v>
      </c>
      <c r="P106" s="36">
        <f>N106/M106*100</f>
        <v>98.59877885888815</v>
      </c>
      <c r="Q106" s="36">
        <f>N106-34521.7</f>
        <v>246.3000000000029</v>
      </c>
      <c r="R106" s="138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180730</v>
      </c>
      <c r="E107" s="71">
        <f>E10-E18+E96</f>
        <v>27235</v>
      </c>
      <c r="F107" s="71">
        <f>F10-F18+F96</f>
        <v>26647.62</v>
      </c>
      <c r="G107" s="71">
        <f>G10-G18+G96</f>
        <v>-587.3799999999994</v>
      </c>
      <c r="H107" s="72">
        <f>F107/E107*100</f>
        <v>97.84328988434</v>
      </c>
      <c r="I107" s="52">
        <f t="shared" si="39"/>
        <v>-154082.38</v>
      </c>
      <c r="J107" s="52">
        <f t="shared" si="41"/>
        <v>14.744436452166216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27235</v>
      </c>
      <c r="N107" s="71">
        <f>N10-N18+N96</f>
        <v>26647.62</v>
      </c>
      <c r="O107" s="53">
        <f t="shared" si="40"/>
        <v>-587.380000000001</v>
      </c>
      <c r="P107" s="52">
        <f>N107/M107*100</f>
        <v>97.84328988434</v>
      </c>
      <c r="Q107" s="52">
        <f>N107-26764.7</f>
        <v>-117.08000000000175</v>
      </c>
      <c r="R107" s="139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50247.20000000001</v>
      </c>
      <c r="E108" s="71">
        <f>E106-E107</f>
        <v>8027.0999999999985</v>
      </c>
      <c r="F108" s="71">
        <f>F106-F107</f>
        <v>8120.380000000001</v>
      </c>
      <c r="G108" s="62">
        <f>F108-E108</f>
        <v>93.28000000000247</v>
      </c>
      <c r="H108" s="72">
        <f>F108/E108*100</f>
        <v>101.16206350986039</v>
      </c>
      <c r="I108" s="52">
        <f t="shared" si="39"/>
        <v>-42126.82000000001</v>
      </c>
      <c r="J108" s="52">
        <f t="shared" si="41"/>
        <v>16.16086070467608</v>
      </c>
      <c r="K108" s="52">
        <f>F108-7757</f>
        <v>363.380000000001</v>
      </c>
      <c r="L108" s="52">
        <f>F108/7757*100</f>
        <v>104.68454299342531</v>
      </c>
      <c r="M108" s="71">
        <f>M106-M107</f>
        <v>8027.0999999999985</v>
      </c>
      <c r="N108" s="71">
        <f>N106-N107</f>
        <v>8120.380000000001</v>
      </c>
      <c r="O108" s="53">
        <f t="shared" si="40"/>
        <v>93.28000000000247</v>
      </c>
      <c r="P108" s="52">
        <f>N108/M108*100</f>
        <v>101.16206350986039</v>
      </c>
      <c r="Q108" s="52">
        <f>N108-7757</f>
        <v>363.380000000001</v>
      </c>
      <c r="R108" s="139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39"/>
        <v>-392918.58</v>
      </c>
      <c r="J109" s="52">
        <f t="shared" si="41"/>
        <v>6.351231343230222</v>
      </c>
      <c r="K109" s="52"/>
      <c r="L109" s="52"/>
      <c r="M109" s="122">
        <v>0</v>
      </c>
      <c r="N109" s="71">
        <f>N107</f>
        <v>26647.62</v>
      </c>
      <c r="O109" s="118">
        <f t="shared" si="40"/>
        <v>26647.62</v>
      </c>
      <c r="P109" s="52" t="e">
        <f>N109/M109*100</f>
        <v>#DIV/0!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1650</v>
      </c>
      <c r="F110" s="87">
        <f>'[1]січень'!$C$29/1000</f>
        <v>1568.431</v>
      </c>
      <c r="G110" s="62">
        <f>F110-E110</f>
        <v>-81.56899999999996</v>
      </c>
      <c r="H110" s="72"/>
      <c r="I110" s="85">
        <f t="shared" si="39"/>
        <v>-3301.949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9"/>
    </row>
    <row r="111" spans="1:18" s="73" customFormat="1" ht="37.5" hidden="1">
      <c r="A111" s="69"/>
      <c r="B111" s="83" t="s">
        <v>182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2" ref="G113:G125">F113-E113</f>
        <v>0.18</v>
      </c>
      <c r="H113" s="40"/>
      <c r="I113" s="60">
        <f aca="true" t="shared" si="43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>E113</f>
        <v>0</v>
      </c>
      <c r="N113" s="40">
        <f>F113</f>
        <v>0.18</v>
      </c>
      <c r="O113" s="53"/>
      <c r="P113" s="60"/>
      <c r="Q113" s="60">
        <f>N113-0.09</f>
        <v>0.09</v>
      </c>
      <c r="R113" s="140"/>
    </row>
    <row r="114" spans="2:18" ht="15.75">
      <c r="B114" s="30" t="s">
        <v>131</v>
      </c>
      <c r="C114" s="106">
        <v>12030000</v>
      </c>
      <c r="D114" s="33">
        <v>3378.16</v>
      </c>
      <c r="E114" s="33">
        <v>563.03</v>
      </c>
      <c r="F114" s="32">
        <v>68.14</v>
      </c>
      <c r="G114" s="49">
        <f t="shared" si="42"/>
        <v>-494.89</v>
      </c>
      <c r="H114" s="40">
        <f aca="true" t="shared" si="44" ref="H114:H125">F114/E114*100</f>
        <v>12.102374651439533</v>
      </c>
      <c r="I114" s="60">
        <f t="shared" si="43"/>
        <v>-3310.02</v>
      </c>
      <c r="J114" s="60">
        <f aca="true" t="shared" si="45" ref="J114:J120">F114/D114*100</f>
        <v>2.0170743836881617</v>
      </c>
      <c r="K114" s="60">
        <f>F114-246.7</f>
        <v>-178.56</v>
      </c>
      <c r="L114" s="60">
        <f>F114/246.7*100</f>
        <v>27.62059181191731</v>
      </c>
      <c r="M114" s="40">
        <f>E114</f>
        <v>563.03</v>
      </c>
      <c r="N114" s="40">
        <f>F114</f>
        <v>68.14</v>
      </c>
      <c r="O114" s="53">
        <f aca="true" t="shared" si="46" ref="O114:O125">N114-M114</f>
        <v>-494.89</v>
      </c>
      <c r="P114" s="60">
        <f>N114/M114*100</f>
        <v>12.102374651439533</v>
      </c>
      <c r="Q114" s="60">
        <f>N114-246.7</f>
        <v>-178.56</v>
      </c>
      <c r="R114" s="140">
        <f>N114/246.7</f>
        <v>0.2762059181191731</v>
      </c>
    </row>
    <row r="115" spans="2:18" ht="31.5">
      <c r="B115" s="30" t="s">
        <v>170</v>
      </c>
      <c r="C115" s="106">
        <v>18041500</v>
      </c>
      <c r="D115" s="33">
        <v>150</v>
      </c>
      <c r="E115" s="33">
        <v>25</v>
      </c>
      <c r="F115" s="32">
        <v>24.53</v>
      </c>
      <c r="G115" s="49">
        <f t="shared" si="42"/>
        <v>-0.46999999999999886</v>
      </c>
      <c r="H115" s="40">
        <f t="shared" si="44"/>
        <v>98.12</v>
      </c>
      <c r="I115" s="60">
        <f t="shared" si="43"/>
        <v>-125.47</v>
      </c>
      <c r="J115" s="60">
        <f t="shared" si="45"/>
        <v>16.353333333333335</v>
      </c>
      <c r="K115" s="60">
        <f>F115-22.5</f>
        <v>2.030000000000001</v>
      </c>
      <c r="L115" s="60">
        <f>F115/22.5*100</f>
        <v>109.02222222222223</v>
      </c>
      <c r="M115" s="40">
        <f>E115</f>
        <v>25</v>
      </c>
      <c r="N115" s="40">
        <f>F115</f>
        <v>24.53</v>
      </c>
      <c r="O115" s="53">
        <f t="shared" si="46"/>
        <v>-0.46999999999999886</v>
      </c>
      <c r="P115" s="60">
        <f>N115/M115*100</f>
        <v>98.12</v>
      </c>
      <c r="Q115" s="60">
        <f>N115-22.5</f>
        <v>2.030000000000001</v>
      </c>
      <c r="R115" s="140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3528.16</v>
      </c>
      <c r="E116" s="38">
        <f>E114+E115+E113</f>
        <v>588.03</v>
      </c>
      <c r="F116" s="38">
        <f>SUM(F113:F115)</f>
        <v>92.85000000000001</v>
      </c>
      <c r="G116" s="62">
        <f t="shared" si="42"/>
        <v>-495.17999999999995</v>
      </c>
      <c r="H116" s="72">
        <f t="shared" si="44"/>
        <v>15.790010713739097</v>
      </c>
      <c r="I116" s="61">
        <f t="shared" si="43"/>
        <v>-3435.31</v>
      </c>
      <c r="J116" s="61">
        <f t="shared" si="45"/>
        <v>2.631683370368691</v>
      </c>
      <c r="K116" s="61">
        <f>F116-270.1</f>
        <v>-177.25</v>
      </c>
      <c r="L116" s="61">
        <f>F116/270.1*100</f>
        <v>34.3761569788967</v>
      </c>
      <c r="M116" s="62">
        <f>M114+M115+M113</f>
        <v>588.03</v>
      </c>
      <c r="N116" s="38">
        <f>SUM(N113:N115)</f>
        <v>92.85000000000001</v>
      </c>
      <c r="O116" s="61">
        <f t="shared" si="46"/>
        <v>-495.17999999999995</v>
      </c>
      <c r="P116" s="61">
        <f>N116/M116*100</f>
        <v>15.790010713739097</v>
      </c>
      <c r="Q116" s="61">
        <f>N116-270.1</f>
        <v>-177.25</v>
      </c>
      <c r="R116" s="141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2"/>
        <v>0</v>
      </c>
      <c r="H117" s="40" t="e">
        <f t="shared" si="44"/>
        <v>#DIV/0!</v>
      </c>
      <c r="I117" s="60">
        <f t="shared" si="43"/>
        <v>0</v>
      </c>
      <c r="J117" s="60" t="e">
        <f t="shared" si="45"/>
        <v>#DIV/0!</v>
      </c>
      <c r="K117" s="60"/>
      <c r="L117" s="60"/>
      <c r="M117" s="41">
        <v>0</v>
      </c>
      <c r="N117" s="41">
        <f>F117</f>
        <v>0</v>
      </c>
      <c r="O117" s="53">
        <f t="shared" si="46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2"/>
        <v>54.32</v>
      </c>
      <c r="H118" s="40" t="e">
        <f t="shared" si="44"/>
        <v>#DIV/0!</v>
      </c>
      <c r="I118" s="60">
        <f t="shared" si="43"/>
        <v>54.32</v>
      </c>
      <c r="J118" s="60" t="e">
        <f t="shared" si="45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>F118</f>
        <v>54.32</v>
      </c>
      <c r="O118" s="53" t="s">
        <v>166</v>
      </c>
      <c r="P118" s="60"/>
      <c r="Q118" s="60">
        <f>N118-0.2</f>
        <v>54.12</v>
      </c>
      <c r="R118" s="140">
        <f>N118/0.2</f>
        <v>271.59999999999997</v>
      </c>
    </row>
    <row r="119" spans="2:18" s="48" customFormat="1" ht="15.75">
      <c r="B119" s="15" t="s">
        <v>139</v>
      </c>
      <c r="C119" s="108">
        <v>18050000</v>
      </c>
      <c r="D119" s="33">
        <v>0</v>
      </c>
      <c r="E119" s="33">
        <v>0</v>
      </c>
      <c r="F119" s="33">
        <v>7479.86</v>
      </c>
      <c r="G119" s="49">
        <f t="shared" si="42"/>
        <v>7479.86</v>
      </c>
      <c r="H119" s="40" t="e">
        <f t="shared" si="44"/>
        <v>#DIV/0!</v>
      </c>
      <c r="I119" s="53">
        <f t="shared" si="43"/>
        <v>7479.86</v>
      </c>
      <c r="J119" s="60" t="e">
        <f t="shared" si="45"/>
        <v>#DIV/0!</v>
      </c>
      <c r="K119" s="60">
        <f>F119-6357.6</f>
        <v>1122.2599999999993</v>
      </c>
      <c r="L119" s="60">
        <f>F119/6357.6*100</f>
        <v>117.6522587139801</v>
      </c>
      <c r="M119" s="40">
        <f>E119</f>
        <v>0</v>
      </c>
      <c r="N119" s="40">
        <f>F119</f>
        <v>7479.86</v>
      </c>
      <c r="O119" s="53">
        <f t="shared" si="46"/>
        <v>7479.86</v>
      </c>
      <c r="P119" s="60" t="e">
        <f aca="true" t="shared" si="47" ref="P119:P124">N119/M119*100</f>
        <v>#DIV/0!</v>
      </c>
      <c r="Q119" s="60">
        <f>N119-6357.6</f>
        <v>1122.2599999999993</v>
      </c>
      <c r="R119" s="140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2"/>
        <v>0.04</v>
      </c>
      <c r="H120" s="40" t="e">
        <f t="shared" si="44"/>
        <v>#DIV/0!</v>
      </c>
      <c r="I120" s="60">
        <f t="shared" si="43"/>
        <v>0.04</v>
      </c>
      <c r="J120" s="60" t="e">
        <f t="shared" si="45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>F120</f>
        <v>0.04</v>
      </c>
      <c r="O120" s="53">
        <f t="shared" si="46"/>
        <v>0.04</v>
      </c>
      <c r="P120" s="60" t="e">
        <f t="shared" si="47"/>
        <v>#DIV/0!</v>
      </c>
      <c r="Q120" s="60">
        <f>N120-230.3</f>
        <v>-230.26000000000002</v>
      </c>
      <c r="R120" s="140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2"/>
        <v>450.01</v>
      </c>
      <c r="H121" s="40" t="e">
        <f t="shared" si="44"/>
        <v>#DIV/0!</v>
      </c>
      <c r="I121" s="60">
        <f t="shared" si="43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>F121</f>
        <v>450.01</v>
      </c>
      <c r="O121" s="53">
        <f t="shared" si="46"/>
        <v>450.01</v>
      </c>
      <c r="P121" s="60" t="e">
        <f t="shared" si="47"/>
        <v>#DIV/0!</v>
      </c>
      <c r="Q121" s="60">
        <f>N121-238.5</f>
        <v>211.51</v>
      </c>
      <c r="R121" s="140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2"/>
        <v>1.05</v>
      </c>
      <c r="H122" s="40" t="e">
        <f t="shared" si="44"/>
        <v>#DIV/0!</v>
      </c>
      <c r="I122" s="60">
        <f t="shared" si="43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>F122</f>
        <v>1.05</v>
      </c>
      <c r="O122" s="53">
        <f t="shared" si="46"/>
        <v>1.05</v>
      </c>
      <c r="P122" s="60" t="e">
        <f t="shared" si="47"/>
        <v>#DIV/0!</v>
      </c>
      <c r="Q122" s="60">
        <f>N122-14.6</f>
        <v>-13.549999999999999</v>
      </c>
      <c r="R122" s="140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0</v>
      </c>
      <c r="E123" s="38">
        <f>E119+E120+E121+E122+E118</f>
        <v>0</v>
      </c>
      <c r="F123" s="38">
        <f>F119+F120+F121+F122+F118</f>
        <v>7985.28</v>
      </c>
      <c r="G123" s="62">
        <f t="shared" si="42"/>
        <v>7985.28</v>
      </c>
      <c r="H123" s="72" t="e">
        <f t="shared" si="44"/>
        <v>#DIV/0!</v>
      </c>
      <c r="I123" s="61">
        <f t="shared" si="43"/>
        <v>7985.28</v>
      </c>
      <c r="J123" s="61" t="e">
        <f>F123/D123*100</f>
        <v>#DIV/0!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0</v>
      </c>
      <c r="N123" s="62">
        <f>N119+N120+N121+N122+N118</f>
        <v>7985.28</v>
      </c>
      <c r="O123" s="61">
        <f t="shared" si="46"/>
        <v>7985.28</v>
      </c>
      <c r="P123" s="61" t="e">
        <f t="shared" si="47"/>
        <v>#DIV/0!</v>
      </c>
      <c r="Q123" s="61">
        <f>N123-6841.1</f>
        <v>1144.1799999999994</v>
      </c>
      <c r="R123" s="141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0</v>
      </c>
      <c r="E124" s="33">
        <v>0</v>
      </c>
      <c r="F124" s="33">
        <v>0.16</v>
      </c>
      <c r="G124" s="49">
        <f t="shared" si="42"/>
        <v>0.16</v>
      </c>
      <c r="H124" s="40" t="e">
        <f t="shared" si="44"/>
        <v>#DIV/0!</v>
      </c>
      <c r="I124" s="60">
        <f t="shared" si="43"/>
        <v>0.16</v>
      </c>
      <c r="J124" s="60" t="e">
        <f>F124/D124*100</f>
        <v>#DIV/0!</v>
      </c>
      <c r="K124" s="60">
        <f>F124-0.3</f>
        <v>-0.13999999999999999</v>
      </c>
      <c r="L124" s="60">
        <f>F124/0.3*100</f>
        <v>53.333333333333336</v>
      </c>
      <c r="M124" s="40">
        <f>E124</f>
        <v>0</v>
      </c>
      <c r="N124" s="40">
        <f>F124</f>
        <v>0.16</v>
      </c>
      <c r="O124" s="53">
        <f t="shared" si="46"/>
        <v>0.16</v>
      </c>
      <c r="P124" s="60" t="e">
        <f t="shared" si="47"/>
        <v>#DIV/0!</v>
      </c>
      <c r="Q124" s="60">
        <f>N124-0.3</f>
        <v>-0.13999999999999999</v>
      </c>
      <c r="R124" s="140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2"/>
        <v>0</v>
      </c>
      <c r="H125" s="40" t="e">
        <f t="shared" si="44"/>
        <v>#DIV/0!</v>
      </c>
      <c r="I125" s="63"/>
      <c r="J125" s="63"/>
      <c r="K125" s="63"/>
      <c r="L125" s="60">
        <f>F125</f>
        <v>0</v>
      </c>
      <c r="M125" s="40">
        <f>E125</f>
        <v>0</v>
      </c>
      <c r="N125" s="40">
        <f>F125</f>
        <v>0</v>
      </c>
      <c r="O125" s="53">
        <f t="shared" si="46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0</v>
      </c>
      <c r="E126" s="33">
        <v>0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>E126</f>
        <v>0</v>
      </c>
      <c r="N126" s="40">
        <f>F126</f>
        <v>8.76</v>
      </c>
      <c r="O126" s="53"/>
      <c r="P126" s="63"/>
      <c r="Q126" s="63">
        <f>N126-0</f>
        <v>8.76</v>
      </c>
      <c r="R126" s="142" t="e">
        <f>N126/0</f>
        <v>#DIV/0!</v>
      </c>
    </row>
    <row r="127" spans="2:18" ht="15.75">
      <c r="B127" s="30" t="s">
        <v>132</v>
      </c>
      <c r="C127" s="106">
        <v>19010000</v>
      </c>
      <c r="D127" s="33">
        <v>4380.58</v>
      </c>
      <c r="E127" s="33">
        <v>730.1</v>
      </c>
      <c r="F127" s="33">
        <v>17.67</v>
      </c>
      <c r="G127" s="49">
        <f aca="true" t="shared" si="48" ref="G127:G134">F127-E127</f>
        <v>-712.4300000000001</v>
      </c>
      <c r="H127" s="40">
        <f>F127/E127*100</f>
        <v>2.4202164087111355</v>
      </c>
      <c r="I127" s="60">
        <f aca="true" t="shared" si="49" ref="I127:I134">F127-D127</f>
        <v>-4362.91</v>
      </c>
      <c r="J127" s="60">
        <f>F127/D127*100</f>
        <v>0.40337124307740074</v>
      </c>
      <c r="K127" s="60">
        <f>F127-84.2</f>
        <v>-66.53</v>
      </c>
      <c r="L127" s="60">
        <f>F127/84.2*100</f>
        <v>20.985748218527316</v>
      </c>
      <c r="M127" s="40">
        <f>E127</f>
        <v>730.1</v>
      </c>
      <c r="N127" s="40">
        <f>F127</f>
        <v>17.67</v>
      </c>
      <c r="O127" s="53">
        <f aca="true" t="shared" si="50" ref="O127:O134">N127-M127</f>
        <v>-712.4300000000001</v>
      </c>
      <c r="P127" s="60">
        <f>N127/M127*100</f>
        <v>2.4202164087111355</v>
      </c>
      <c r="Q127" s="60">
        <f>N127-84.2</f>
        <v>-66.53</v>
      </c>
      <c r="R127" s="140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48"/>
        <v>-0.21</v>
      </c>
      <c r="H128" s="40"/>
      <c r="I128" s="60">
        <f t="shared" si="49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>E128</f>
        <v>0</v>
      </c>
      <c r="N128" s="40">
        <f>F128</f>
        <v>-0.21</v>
      </c>
      <c r="O128" s="53">
        <f t="shared" si="50"/>
        <v>-0.21</v>
      </c>
      <c r="P128" s="60"/>
      <c r="Q128" s="60">
        <f>N128-0.2</f>
        <v>-0.41000000000000003</v>
      </c>
      <c r="R128" s="140"/>
    </row>
    <row r="129" spans="2:18" ht="31.5">
      <c r="B129" s="37" t="s">
        <v>134</v>
      </c>
      <c r="C129" s="106"/>
      <c r="D129" s="38">
        <f>D127+D124+D128+D126</f>
        <v>4380.58</v>
      </c>
      <c r="E129" s="38">
        <f>E127+E124+E128+E126</f>
        <v>730.1</v>
      </c>
      <c r="F129" s="38">
        <f>F127+F124+F128+F126</f>
        <v>26.380000000000003</v>
      </c>
      <c r="G129" s="62">
        <f t="shared" si="48"/>
        <v>-703.72</v>
      </c>
      <c r="H129" s="72">
        <f>F129/E129*100</f>
        <v>3.6132036707300372</v>
      </c>
      <c r="I129" s="61">
        <f t="shared" si="49"/>
        <v>-4354.2</v>
      </c>
      <c r="J129" s="61">
        <f>F129/D129*100</f>
        <v>0.6022033611987454</v>
      </c>
      <c r="K129" s="61">
        <f>F129-84.8</f>
        <v>-58.419999999999995</v>
      </c>
      <c r="L129" s="61">
        <f>G129/84.8*100</f>
        <v>-829.8584905660379</v>
      </c>
      <c r="M129" s="62">
        <f>M124+M127+M128+M126</f>
        <v>730.1</v>
      </c>
      <c r="N129" s="62">
        <f>N124+N127+N128+N126</f>
        <v>26.380000000000003</v>
      </c>
      <c r="O129" s="61">
        <f t="shared" si="50"/>
        <v>-703.72</v>
      </c>
      <c r="P129" s="61">
        <f>N129/M129*100</f>
        <v>3.6132036707300372</v>
      </c>
      <c r="Q129" s="61">
        <f>N129-84.8</f>
        <v>-58.419999999999995</v>
      </c>
      <c r="R129" s="139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0</v>
      </c>
      <c r="E130" s="33">
        <v>0</v>
      </c>
      <c r="F130" s="33">
        <v>0.45</v>
      </c>
      <c r="G130" s="49">
        <f>F130-E130</f>
        <v>0.45</v>
      </c>
      <c r="H130" s="40" t="e">
        <f>F130/E130*100</f>
        <v>#DIV/0!</v>
      </c>
      <c r="I130" s="60">
        <f>F130-D130</f>
        <v>0.45</v>
      </c>
      <c r="J130" s="60" t="e">
        <f>F130/D130*100</f>
        <v>#DIV/0!</v>
      </c>
      <c r="K130" s="60">
        <f>F130-0</f>
        <v>0.45</v>
      </c>
      <c r="L130" s="60">
        <f>F130/34*100</f>
        <v>1.3235294117647058</v>
      </c>
      <c r="M130" s="40">
        <f>E130</f>
        <v>0</v>
      </c>
      <c r="N130" s="40">
        <f>F130</f>
        <v>0.45</v>
      </c>
      <c r="O130" s="53">
        <f>N130-M130</f>
        <v>0.45</v>
      </c>
      <c r="P130" s="60" t="e">
        <f>N130/M130*100</f>
        <v>#DIV/0!</v>
      </c>
      <c r="Q130" s="60">
        <f>N130-0.8</f>
        <v>-0.35000000000000003</v>
      </c>
      <c r="R130" s="140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1812</v>
      </c>
      <c r="E131" s="33">
        <v>302</v>
      </c>
      <c r="F131" s="33">
        <v>0</v>
      </c>
      <c r="G131" s="49"/>
      <c r="H131" s="40"/>
      <c r="I131" s="60"/>
      <c r="J131" s="60"/>
      <c r="K131" s="60"/>
      <c r="L131" s="60"/>
      <c r="M131" s="40">
        <f>E131</f>
        <v>302</v>
      </c>
      <c r="N131" s="40">
        <f>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55.43</v>
      </c>
      <c r="E132" s="33">
        <v>9.24</v>
      </c>
      <c r="F132" s="33">
        <v>0</v>
      </c>
      <c r="G132" s="49">
        <f t="shared" si="48"/>
        <v>-9.24</v>
      </c>
      <c r="H132" s="40">
        <f>F132/E132*100</f>
        <v>0</v>
      </c>
      <c r="I132" s="60">
        <f t="shared" si="49"/>
        <v>-55.43</v>
      </c>
      <c r="J132" s="60">
        <f>F132/D132*100</f>
        <v>0</v>
      </c>
      <c r="K132" s="60"/>
      <c r="L132" s="60">
        <f>F132/65.9*100</f>
        <v>0</v>
      </c>
      <c r="M132" s="40">
        <f>E132</f>
        <v>9.24</v>
      </c>
      <c r="N132" s="40">
        <f>F132</f>
        <v>0</v>
      </c>
      <c r="O132" s="53">
        <f t="shared" si="50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9776.17</v>
      </c>
      <c r="E133" s="31">
        <f>E116+E130+E123+E129+E132+E131</f>
        <v>1629.3700000000001</v>
      </c>
      <c r="F133" s="31">
        <f>F116+F130+F123+F129+F132+F131</f>
        <v>8104.96</v>
      </c>
      <c r="G133" s="50">
        <f t="shared" si="48"/>
        <v>6475.59</v>
      </c>
      <c r="H133" s="51">
        <f>F133/E133*100</f>
        <v>497.4290676764639</v>
      </c>
      <c r="I133" s="36">
        <f t="shared" si="49"/>
        <v>-1671.21</v>
      </c>
      <c r="J133" s="36">
        <f>F133/D133*100</f>
        <v>82.90526862769366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1629.3700000000001</v>
      </c>
      <c r="N133" s="31">
        <f>N116+N130+N123+N129+N132+N131</f>
        <v>8104.96</v>
      </c>
      <c r="O133" s="36">
        <f t="shared" si="50"/>
        <v>6475.59</v>
      </c>
      <c r="P133" s="36">
        <f>N133/M133*100</f>
        <v>497.4290676764639</v>
      </c>
      <c r="Q133" s="36">
        <f>N133-7196.4</f>
        <v>908.5600000000004</v>
      </c>
      <c r="R133" s="138">
        <f>N133/7196.4</f>
        <v>1.126252014896337</v>
      </c>
    </row>
    <row r="134" spans="2:18" ht="18.75">
      <c r="B134" s="28" t="s">
        <v>115</v>
      </c>
      <c r="C134" s="96"/>
      <c r="D134" s="31">
        <f>D106+D133</f>
        <v>240753.37000000002</v>
      </c>
      <c r="E134" s="31">
        <f>E106+E133</f>
        <v>36891.47</v>
      </c>
      <c r="F134" s="31">
        <f>F106+F133</f>
        <v>42872.96</v>
      </c>
      <c r="G134" s="50">
        <f t="shared" si="48"/>
        <v>5981.489999999998</v>
      </c>
      <c r="H134" s="51">
        <f>F134/E134*100</f>
        <v>116.21374805612245</v>
      </c>
      <c r="I134" s="36">
        <f t="shared" si="49"/>
        <v>-197880.41000000003</v>
      </c>
      <c r="J134" s="36">
        <f>F134/D134*100</f>
        <v>17.807833801038793</v>
      </c>
      <c r="K134" s="36">
        <f>F134-41718.2</f>
        <v>1154.760000000002</v>
      </c>
      <c r="L134" s="36">
        <f>F134/41718.2*100</f>
        <v>102.76800053693593</v>
      </c>
      <c r="M134" s="22">
        <f>M106+M133</f>
        <v>36891.47</v>
      </c>
      <c r="N134" s="22">
        <f>N106+N133</f>
        <v>42872.96</v>
      </c>
      <c r="O134" s="36">
        <f t="shared" si="50"/>
        <v>5981.489999999998</v>
      </c>
      <c r="P134" s="36">
        <f>N134/M134*100</f>
        <v>116.21374805612245</v>
      </c>
      <c r="Q134" s="36">
        <f>N134-41718.2</f>
        <v>1154.760000000002</v>
      </c>
      <c r="R134" s="138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8"/>
      <c r="H137" s="168"/>
      <c r="I137" s="168"/>
      <c r="J137" s="16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69"/>
      <c r="O138" s="169"/>
    </row>
    <row r="139" spans="3:15" ht="15.75">
      <c r="C139" s="120">
        <v>41669</v>
      </c>
      <c r="D139" s="39">
        <v>4752.2</v>
      </c>
      <c r="F139" s="4" t="s">
        <v>166</v>
      </c>
      <c r="G139" s="170" t="s">
        <v>151</v>
      </c>
      <c r="H139" s="170"/>
      <c r="I139" s="115">
        <f>'[1]залишки  (2)'!$G$9/1000</f>
        <v>13825.22196</v>
      </c>
      <c r="J139" s="171" t="s">
        <v>161</v>
      </c>
      <c r="K139" s="171"/>
      <c r="L139" s="171"/>
      <c r="M139" s="171"/>
      <c r="N139" s="169"/>
      <c r="O139" s="16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69"/>
      <c r="O140" s="169"/>
    </row>
    <row r="141" spans="7:13" ht="15.75" customHeight="1">
      <c r="G141" s="170" t="s">
        <v>148</v>
      </c>
      <c r="H141" s="170"/>
      <c r="I141" s="112">
        <f>'[1]залишки  (2)'!$G$8/1000</f>
        <v>0</v>
      </c>
      <c r="J141" s="171" t="s">
        <v>163</v>
      </c>
      <c r="K141" s="171"/>
      <c r="L141" s="171"/>
      <c r="M141" s="171"/>
    </row>
    <row r="142" spans="2:13" ht="18.75" customHeight="1">
      <c r="B142" s="183" t="s">
        <v>160</v>
      </c>
      <c r="C142" s="184"/>
      <c r="D142" s="117">
        <f>'[1]залишки  (2)'!$G$6/1000</f>
        <v>111410.61799</v>
      </c>
      <c r="E142" s="80"/>
      <c r="F142" s="100" t="s">
        <v>147</v>
      </c>
      <c r="G142" s="170" t="s">
        <v>149</v>
      </c>
      <c r="H142" s="170"/>
      <c r="I142" s="116">
        <f>'[1]залишки  (2)'!$G$10/1000</f>
        <v>97585.39603</v>
      </c>
      <c r="J142" s="171" t="s">
        <v>164</v>
      </c>
      <c r="K142" s="171"/>
      <c r="L142" s="171"/>
      <c r="M142" s="171"/>
    </row>
    <row r="143" spans="7:12" ht="9.75" customHeight="1">
      <c r="G143" s="179"/>
      <c r="H143" s="179"/>
      <c r="I143" s="98"/>
      <c r="J143" s="99"/>
      <c r="K143" s="99"/>
      <c r="L143" s="99"/>
    </row>
    <row r="144" spans="2:12" ht="22.5" customHeight="1">
      <c r="B144" s="180" t="s">
        <v>167</v>
      </c>
      <c r="C144" s="181"/>
      <c r="D144" s="119">
        <v>0</v>
      </c>
      <c r="E144" s="77" t="s">
        <v>104</v>
      </c>
      <c r="G144" s="179"/>
      <c r="H144" s="179"/>
      <c r="I144" s="98"/>
      <c r="J144" s="99"/>
      <c r="K144" s="99"/>
      <c r="L144" s="99"/>
    </row>
    <row r="145" spans="4:15" ht="15.75">
      <c r="D145" s="114"/>
      <c r="N145" s="179"/>
      <c r="O145" s="179"/>
    </row>
    <row r="146" spans="4:15" ht="15.75">
      <c r="D146" s="113"/>
      <c r="I146" s="39"/>
      <c r="N146" s="182"/>
      <c r="O146" s="182"/>
    </row>
    <row r="147" spans="14:15" ht="15.75">
      <c r="N147" s="179"/>
      <c r="O147" s="17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2014-02-03T10:52:38Z</cp:lastPrinted>
  <dcterms:created xsi:type="dcterms:W3CDTF">2003-07-28T11:27:56Z</dcterms:created>
  <dcterms:modified xsi:type="dcterms:W3CDTF">2014-02-03T13:15:16Z</dcterms:modified>
  <cp:category/>
  <cp:version/>
  <cp:contentType/>
  <cp:contentStatus/>
</cp:coreProperties>
</file>